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ageusa-my.sharepoint.com/personal/bcole_sageusa_org/Documents/Desktop/"/>
    </mc:Choice>
  </mc:AlternateContent>
  <xr:revisionPtr revIDLastSave="0" documentId="8_{00978645-3B01-4354-B243-78F3BBAEC24D}" xr6:coauthVersionLast="47" xr6:coauthVersionMax="47" xr10:uidLastSave="{00000000-0000-0000-0000-000000000000}"/>
  <bookViews>
    <workbookView xWindow="2415" yWindow="2415" windowWidth="21510" windowHeight="9000" xr2:uid="{551E7319-3E15-44E1-9B99-AB2230FC775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0" i="1"/>
  <c r="C12" i="1" s="1"/>
  <c r="C11" i="1"/>
  <c r="C2" i="1"/>
  <c r="C3" i="1"/>
  <c r="C5" i="1"/>
  <c r="C7" i="1"/>
  <c r="D38" i="1"/>
  <c r="D37" i="1"/>
  <c r="D36" i="1"/>
  <c r="C39" i="1"/>
  <c r="C32" i="1"/>
  <c r="E32" i="1"/>
  <c r="E23" i="1"/>
  <c r="C23" i="1"/>
  <c r="C34" i="1"/>
  <c r="D32" i="1" s="1"/>
  <c r="C22" i="1"/>
  <c r="C24" i="1" s="1"/>
  <c r="C16" i="1"/>
  <c r="E39" i="1"/>
  <c r="F38" i="1" s="1"/>
  <c r="E34" i="1"/>
  <c r="F28" i="1" s="1"/>
  <c r="E22" i="1"/>
  <c r="E16" i="1"/>
  <c r="E5" i="1"/>
  <c r="E3" i="1"/>
  <c r="E10" i="1"/>
  <c r="E12" i="1" s="1"/>
  <c r="E11" i="1"/>
  <c r="E2" i="1"/>
  <c r="E7" i="1" s="1"/>
  <c r="D27" i="1" l="1"/>
  <c r="D30" i="1"/>
  <c r="D28" i="1"/>
  <c r="D31" i="1"/>
  <c r="D33" i="1"/>
  <c r="D29" i="1"/>
  <c r="D34" i="1"/>
  <c r="D39" i="1"/>
  <c r="C41" i="1"/>
  <c r="F33" i="1"/>
  <c r="F27" i="1"/>
  <c r="F32" i="1"/>
  <c r="F31" i="1"/>
  <c r="F30" i="1"/>
  <c r="F29" i="1"/>
  <c r="F36" i="1"/>
  <c r="F37" i="1"/>
  <c r="E41" i="1"/>
  <c r="G32" i="1"/>
  <c r="G34" i="1" s="1"/>
  <c r="G39" i="1"/>
  <c r="I39" i="1"/>
  <c r="J36" i="1" s="1"/>
  <c r="I34" i="1"/>
  <c r="J27" i="1" s="1"/>
  <c r="G22" i="1"/>
  <c r="I22" i="1"/>
  <c r="I24" i="1" s="1"/>
  <c r="G23" i="1" s="1"/>
  <c r="G16" i="1"/>
  <c r="G11" i="1"/>
  <c r="G10" i="1"/>
  <c r="G3" i="1"/>
  <c r="G5" i="1"/>
  <c r="G2" i="1"/>
  <c r="I16" i="1"/>
  <c r="I11" i="1"/>
  <c r="I10" i="1"/>
  <c r="I5" i="1"/>
  <c r="I3" i="1"/>
  <c r="I2" i="1"/>
  <c r="H31" i="1" l="1"/>
  <c r="H27" i="1"/>
  <c r="H39" i="1"/>
  <c r="H38" i="1"/>
  <c r="H37" i="1"/>
  <c r="H36" i="1"/>
  <c r="F34" i="1"/>
  <c r="F39" i="1"/>
  <c r="H34" i="1"/>
  <c r="H32" i="1"/>
  <c r="J28" i="1"/>
  <c r="H33" i="1"/>
  <c r="J29" i="1"/>
  <c r="J30" i="1"/>
  <c r="J31" i="1"/>
  <c r="J32" i="1"/>
  <c r="J34" i="1"/>
  <c r="I41" i="1"/>
  <c r="I12" i="1"/>
  <c r="H28" i="1"/>
  <c r="J37" i="1"/>
  <c r="J38" i="1"/>
  <c r="H29" i="1"/>
  <c r="H30" i="1"/>
  <c r="J39" i="1"/>
  <c r="G12" i="1"/>
  <c r="G24" i="1"/>
  <c r="E24" i="1" s="1"/>
  <c r="I7" i="1"/>
  <c r="G7" i="1"/>
  <c r="G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tc={56786F93-98F1-4111-8107-7B21F0CF51FD}</author>
    <author>tc={25BC40C5-D897-4902-A256-1C214358D8AC}</author>
  </authors>
  <commentList>
    <comment ref="A29" authorId="0" shapeId="0" xr:uid="{56786F93-98F1-4111-8107-7B21F0CF51FD}">
      <text>
        <t xml:space="preserve">[Threaded comment]
Your version of Excel allows you to read this threaded comment; however, any edits to it will get removed if the file is opened in a newer version of Excel. Learn more: https://go.microsoft.com/fwlink/?linkid=870924
Comment:
    There was a change in financial statement presentation, I have updated accordingly and updated last years so the numbers we share int the AR are comparative. This amount used to be shown net of direct expenses, now it’s shown as it’s gross amount. </t>
      </text>
    </comment>
    <comment ref="A39" authorId="1" shapeId="0" xr:uid="{25BC40C5-D897-4902-A256-1C214358D8AC}">
      <text>
        <t>[Threaded comment]
Your version of Excel allows you to read this threaded comment; however, any edits to it will get removed if the file is opened in a newer version of Excel. Learn more: https://go.microsoft.com/fwlink/?linkid=870924
Comment:
    The Special Events change also impacts the 2023 expense numbers. These numbers have also been updated accordingly.</t>
      </text>
    </comment>
  </commentList>
</comments>
</file>

<file path=xl/sharedStrings.xml><?xml version="1.0" encoding="utf-8"?>
<sst xmlns="http://schemas.openxmlformats.org/spreadsheetml/2006/main" count="35" uniqueCount="34">
  <si>
    <t>Cash &amp; Inv</t>
  </si>
  <si>
    <t>Rec</t>
  </si>
  <si>
    <t>ROU Asset</t>
  </si>
  <si>
    <t>New category in 2023</t>
  </si>
  <si>
    <t>Prep &amp; Other</t>
  </si>
  <si>
    <t>P&amp;E, net</t>
  </si>
  <si>
    <t>Total Assets</t>
  </si>
  <si>
    <t>Payables &amp; Accrued</t>
  </si>
  <si>
    <t>Other</t>
  </si>
  <si>
    <t>Total Liabilities</t>
  </si>
  <si>
    <t>Without Restrictions</t>
  </si>
  <si>
    <t>With Restrictions</t>
  </si>
  <si>
    <t>Total Net Assets</t>
  </si>
  <si>
    <t>Net used in Operating</t>
  </si>
  <si>
    <t>Net used in Investing</t>
  </si>
  <si>
    <t>Net used in Financing</t>
  </si>
  <si>
    <t>Beg of Year</t>
  </si>
  <si>
    <t>End of Year</t>
  </si>
  <si>
    <t>Revenue</t>
  </si>
  <si>
    <t>Govt</t>
  </si>
  <si>
    <t>Cont Individuals &amp; Foundations</t>
  </si>
  <si>
    <t>Special Events</t>
  </si>
  <si>
    <t>Bequests</t>
  </si>
  <si>
    <t>Program fees</t>
  </si>
  <si>
    <t>Donated Materials, Facilities and Services</t>
  </si>
  <si>
    <t>New category in 2022</t>
  </si>
  <si>
    <t>Total</t>
  </si>
  <si>
    <t>Programs &amp; Direct</t>
  </si>
  <si>
    <t>Admin</t>
  </si>
  <si>
    <t>Change in NA</t>
  </si>
  <si>
    <t>Fundraising</t>
  </si>
  <si>
    <t>Investment &amp; Other</t>
  </si>
  <si>
    <t>Net increase in cash</t>
  </si>
  <si>
    <t>Loans Payable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</si>
</sst>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164" fontId="0" fillId="0" borderId="0" xfId="1" applyNumberFormat="1" applyFont="1"/>
    <xf numFmtId="9" fontId="0" fillId="0" borderId="0" xfId="2" applyFont="1"/>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164" fontId="2" fillId="0" borderId="0" xfId="1" applyNumberFormat="1" applyFont="1"/>
    <xf numFmtId="164" fontId="2" fillId="0" borderId="0" xfId="0" applyNumberFormat="1" applyFont="1"/>
    <xf numFmtId="164" fontId="0" fillId="0" borderId="1" xfId="1" applyNumberFormat="1" applyFont="1" applyBorder="1"/>
    <xf numFmtId="9" fontId="2" fillId="0" borderId="0" xfId="2" applyFont="1"/>
    <xf numFmtId="164" fontId="0" fillId="0" borderId="0" xfId="1" applyNumberFormat="1" applyFont="1" applyBorder="1"/>
    <xf numFmtId="164" fontId="2" fillId="0" borderId="0" xfId="1" applyNumberFormat="1" applyFont="1" applyBorder="1"/>
    <xf numFmtId="164" fontId="0" fillId="0" borderId="1" xfId="1" applyNumberFormat="1" applyFont="1" applyFill="1" applyBorder="1"/>
    <xf numFmtId="9" fontId="0" fillId="0" borderId="0" xfId="2" applyFont="1" applyFill="1"/>
    <xf numFmtId="164" fontId="0" fillId="0" borderId="0" xfId="1" applyNumberFormat="1" applyFont="1" applyFill="1" applyBorder="1"/>
    <xf numFmtId="164" fontId="2" fillId="0" borderId="0" xfId="1" applyNumberFormat="1" applyFont="1" applyFill="1" applyBorder="1"/>
    <xf numFmtId="164" fontId="0" fillId="0" borderId="0" xfId="1" applyNumberFormat="1" applyFont="1" applyFill="1"/>
    <xf numFmtId="164" fontId="2" fillId="0" borderId="0" xfId="1" applyNumberFormat="1" applyFont="1" applyFill="1"/>
    <xf numFmtId="0" fontId="0" fillId="2" borderId="0" xfId="0" applyFill="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annah Hayes (She/Her)" id="{7E9399A4-2EDF-4438-BF84-479E7EE02F3D}" userId="S::hhayes@sageusa.org::615e2400-9f9f-48bb-8731-5edd9886c3c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9" dT="2025-03-24T16:22:30.90" personId="{7E9399A4-2EDF-4438-BF84-479E7EE02F3D}" id="{56786F93-98F1-4111-8107-7B21F0CF51FD}">
    <text xml:space="preserve">There was a change in financial statement presentation, I have updated accordingly and updated last years so the numbers we share int the AR are comparative. This amount used to be shown net of direct expenses, now it’s shown as it’s gross amount. </text>
  </threadedComment>
  <threadedComment ref="A39" dT="2025-03-24T16:23:49.66" personId="{7E9399A4-2EDF-4438-BF84-479E7EE02F3D}" id="{25BC40C5-D897-4902-A256-1C214358D8AC}">
    <text>The Special Events change also impacts the 2023 expense numbers. These numbers have also been updated accordingly.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2FF0F-3A98-496C-B06F-38D101B6D911}">
  <dimension ref="A1:J42"/>
  <sheetViews>
    <sheetView tabSelected="1" topLeftCell="A31" workbookViewId="0">
      <selection activeCell="A33" sqref="A33"/>
    </sheetView>
  </sheetViews>
  <sheetFormatPr defaultRowHeight="15" x14ac:dyDescent="0.25"/>
  <cols>
    <col min="1" max="1" width="21.42578125" customWidth="1"/>
    <col min="2" max="2" width="6.7109375" customWidth="1"/>
    <col min="3" max="3" width="21.42578125" customWidth="1"/>
    <col min="4" max="4" width="5.28515625" customWidth="1"/>
    <col min="5" max="5" width="21.42578125" style="1" customWidth="1"/>
    <col min="6" max="6" width="7.7109375" style="10" customWidth="1"/>
    <col min="7" max="7" width="20.28515625" hidden="1" customWidth="1"/>
    <col min="8" max="8" width="9.28515625" hidden="1" customWidth="1"/>
    <col min="9" max="9" width="20.42578125" hidden="1" customWidth="1"/>
    <col min="10" max="10" width="0" hidden="1" customWidth="1"/>
  </cols>
  <sheetData>
    <row r="1" spans="1:10" x14ac:dyDescent="0.25">
      <c r="C1" s="5">
        <v>2024</v>
      </c>
      <c r="E1" s="5">
        <v>2023</v>
      </c>
      <c r="F1" s="4"/>
      <c r="G1" s="5">
        <v>2022</v>
      </c>
      <c r="H1" s="4"/>
      <c r="I1" s="5">
        <v>2021</v>
      </c>
      <c r="J1" s="4"/>
    </row>
    <row r="2" spans="1:10" x14ac:dyDescent="0.25">
      <c r="A2" t="s">
        <v>0</v>
      </c>
      <c r="C2" s="1">
        <f>3480987+6170129</f>
        <v>9651116</v>
      </c>
      <c r="E2" s="1">
        <f>5267203+5782448</f>
        <v>11049651</v>
      </c>
      <c r="G2" s="1">
        <f>10420949+4620392</f>
        <v>15041341</v>
      </c>
      <c r="H2" s="1"/>
      <c r="I2" s="1">
        <f>13107297+650566</f>
        <v>13757863</v>
      </c>
    </row>
    <row r="3" spans="1:10" x14ac:dyDescent="0.25">
      <c r="A3" t="s">
        <v>1</v>
      </c>
      <c r="C3" s="1">
        <f>2244710+5707271+411712+394542</f>
        <v>8758235</v>
      </c>
      <c r="E3" s="1">
        <f>3269426+7070519+263656+114402</f>
        <v>10718003</v>
      </c>
      <c r="G3" s="1">
        <f>2468924+5625349+231532+1518608</f>
        <v>9844413</v>
      </c>
      <c r="H3" s="1"/>
      <c r="I3" s="1">
        <f>3764805+4737923</f>
        <v>8502728</v>
      </c>
    </row>
    <row r="4" spans="1:10" x14ac:dyDescent="0.25">
      <c r="A4" t="s">
        <v>2</v>
      </c>
      <c r="C4" s="1">
        <v>1096708</v>
      </c>
      <c r="E4" s="1">
        <v>1146561</v>
      </c>
      <c r="G4" s="12" t="s">
        <v>3</v>
      </c>
      <c r="H4" s="1"/>
    </row>
    <row r="5" spans="1:10" x14ac:dyDescent="0.25">
      <c r="A5" t="s">
        <v>4</v>
      </c>
      <c r="C5" s="16">
        <f>378119+28341+467804</f>
        <v>874264</v>
      </c>
      <c r="E5" s="16">
        <f>208211+28341+333122</f>
        <v>569674</v>
      </c>
      <c r="F5" s="14"/>
      <c r="G5" s="16">
        <f>138053+27141+278860</f>
        <v>444054</v>
      </c>
      <c r="H5" s="16"/>
      <c r="I5" s="1">
        <f>518068+23611+296836</f>
        <v>838515</v>
      </c>
    </row>
    <row r="6" spans="1:10" x14ac:dyDescent="0.25">
      <c r="A6" t="s">
        <v>5</v>
      </c>
      <c r="C6" s="16">
        <v>11730919</v>
      </c>
      <c r="E6" s="16">
        <v>12469210</v>
      </c>
      <c r="F6" s="14"/>
      <c r="G6" s="16">
        <v>12912384</v>
      </c>
      <c r="H6" s="16"/>
      <c r="I6" s="1">
        <v>12921026</v>
      </c>
    </row>
    <row r="7" spans="1:10" s="3" customFormat="1" x14ac:dyDescent="0.25">
      <c r="A7" s="3" t="s">
        <v>6</v>
      </c>
      <c r="C7" s="17">
        <f>SUM(C2:C6)</f>
        <v>32111242</v>
      </c>
      <c r="E7" s="17">
        <f>SUM(E2:E6)</f>
        <v>35953099</v>
      </c>
      <c r="F7" s="15"/>
      <c r="G7" s="17">
        <f>SUM(G2:G6)</f>
        <v>38242192</v>
      </c>
      <c r="H7" s="17"/>
      <c r="I7" s="6">
        <f>SUM(I2:I6)</f>
        <v>36020132</v>
      </c>
    </row>
    <row r="8" spans="1:10" x14ac:dyDescent="0.25">
      <c r="C8" s="16"/>
      <c r="E8" s="16"/>
      <c r="F8" s="14"/>
      <c r="G8" s="16"/>
      <c r="H8" s="16"/>
      <c r="I8" s="1"/>
    </row>
    <row r="9" spans="1:10" x14ac:dyDescent="0.25">
      <c r="A9" t="s">
        <v>7</v>
      </c>
      <c r="C9" s="16">
        <v>1874188</v>
      </c>
      <c r="E9" s="16">
        <v>1619421</v>
      </c>
      <c r="F9" s="14"/>
      <c r="G9" s="16">
        <v>1321970</v>
      </c>
      <c r="H9" s="16"/>
      <c r="I9" s="1">
        <v>1054469</v>
      </c>
    </row>
    <row r="10" spans="1:10" x14ac:dyDescent="0.25">
      <c r="A10" t="s">
        <v>33</v>
      </c>
      <c r="C10" s="16">
        <f>290323+5672063+1000000+55204+1072785</f>
        <v>8090375</v>
      </c>
      <c r="E10" s="16">
        <f>230643+5912585+1000000+42549+1121436</f>
        <v>8307213</v>
      </c>
      <c r="F10" s="14"/>
      <c r="G10" s="16">
        <f>237815+6148541+1000000</f>
        <v>7386356</v>
      </c>
      <c r="H10" s="16"/>
      <c r="I10" s="1">
        <f>6351697+230056+1000000</f>
        <v>7581753</v>
      </c>
    </row>
    <row r="11" spans="1:10" x14ac:dyDescent="0.25">
      <c r="A11" t="s">
        <v>8</v>
      </c>
      <c r="C11" s="16">
        <f>838457+467804</f>
        <v>1306261</v>
      </c>
      <c r="E11" s="16">
        <f>343942+333122</f>
        <v>677064</v>
      </c>
      <c r="F11" s="14"/>
      <c r="G11" s="16">
        <f>167768+278860+1877</f>
        <v>448505</v>
      </c>
      <c r="H11" s="16"/>
      <c r="I11" s="1">
        <f>583284+296836+7015</f>
        <v>887135</v>
      </c>
    </row>
    <row r="12" spans="1:10" s="3" customFormat="1" x14ac:dyDescent="0.25">
      <c r="A12" s="3" t="s">
        <v>9</v>
      </c>
      <c r="C12" s="17">
        <f>SUM(C9:C11)</f>
        <v>11270824</v>
      </c>
      <c r="E12" s="17">
        <f>SUM(E9:E11)</f>
        <v>10603698</v>
      </c>
      <c r="F12" s="15"/>
      <c r="G12" s="17">
        <f>SUM(G9:G11)</f>
        <v>9156831</v>
      </c>
      <c r="H12" s="17"/>
      <c r="I12" s="6">
        <f>SUM(I9:I11)</f>
        <v>9523357</v>
      </c>
      <c r="J12" s="7"/>
    </row>
    <row r="13" spans="1:10" x14ac:dyDescent="0.25">
      <c r="C13" s="16"/>
      <c r="E13" s="16"/>
      <c r="F13" s="14"/>
      <c r="G13" s="16"/>
      <c r="H13" s="16"/>
      <c r="I13" s="1"/>
    </row>
    <row r="14" spans="1:10" x14ac:dyDescent="0.25">
      <c r="A14" t="s">
        <v>10</v>
      </c>
      <c r="C14" s="16">
        <f>16967732</f>
        <v>16967732</v>
      </c>
      <c r="E14" s="16">
        <v>20316301</v>
      </c>
      <c r="F14" s="14"/>
      <c r="G14" s="16">
        <v>21760176</v>
      </c>
      <c r="H14" s="16"/>
      <c r="I14" s="1">
        <v>21030127</v>
      </c>
    </row>
    <row r="15" spans="1:10" x14ac:dyDescent="0.25">
      <c r="A15" t="s">
        <v>11</v>
      </c>
      <c r="C15" s="16">
        <v>3872686</v>
      </c>
      <c r="E15" s="16">
        <v>5033100</v>
      </c>
      <c r="F15" s="14"/>
      <c r="G15" s="16">
        <v>7325185</v>
      </c>
      <c r="H15" s="16"/>
      <c r="I15" s="1">
        <v>5466648</v>
      </c>
    </row>
    <row r="16" spans="1:10" s="3" customFormat="1" x14ac:dyDescent="0.25">
      <c r="A16" s="3" t="s">
        <v>12</v>
      </c>
      <c r="C16" s="17">
        <f>C14+C15</f>
        <v>20840418</v>
      </c>
      <c r="E16" s="17">
        <f>E14+E15</f>
        <v>25349401</v>
      </c>
      <c r="F16" s="15"/>
      <c r="G16" s="17">
        <f>+G14+G15</f>
        <v>29085361</v>
      </c>
      <c r="H16" s="17"/>
      <c r="I16" s="6">
        <f>+I14+I15</f>
        <v>26496775</v>
      </c>
    </row>
    <row r="17" spans="1:10" x14ac:dyDescent="0.25">
      <c r="C17" s="16"/>
      <c r="E17" s="16"/>
      <c r="F17" s="14"/>
      <c r="G17" s="16"/>
      <c r="H17" s="16"/>
      <c r="I17" s="1"/>
    </row>
    <row r="18" spans="1:10" x14ac:dyDescent="0.25">
      <c r="C18" s="16"/>
      <c r="E18" s="16"/>
      <c r="F18" s="14"/>
      <c r="G18" s="16"/>
      <c r="H18" s="16"/>
      <c r="I18" s="1"/>
    </row>
    <row r="19" spans="1:10" x14ac:dyDescent="0.25">
      <c r="A19" t="s">
        <v>13</v>
      </c>
      <c r="C19" s="16">
        <v>-1791779</v>
      </c>
      <c r="E19" s="16">
        <v>-3465629</v>
      </c>
      <c r="F19" s="14"/>
      <c r="G19" s="16">
        <v>2261891</v>
      </c>
      <c r="H19" s="16"/>
      <c r="I19" s="1">
        <v>8135103</v>
      </c>
    </row>
    <row r="20" spans="1:10" x14ac:dyDescent="0.25">
      <c r="A20" t="s">
        <v>14</v>
      </c>
      <c r="C20" s="16">
        <v>201699</v>
      </c>
      <c r="E20" s="16">
        <v>-1429695</v>
      </c>
      <c r="F20" s="14"/>
      <c r="G20" s="16">
        <v>-4737549</v>
      </c>
      <c r="H20" s="16"/>
      <c r="I20" s="1">
        <v>-344656</v>
      </c>
    </row>
    <row r="21" spans="1:10" x14ac:dyDescent="0.25">
      <c r="A21" t="s">
        <v>15</v>
      </c>
      <c r="C21" s="12">
        <v>-196136</v>
      </c>
      <c r="E21" s="12">
        <v>-258422</v>
      </c>
      <c r="F21" s="14"/>
      <c r="G21" s="12">
        <v>-210690</v>
      </c>
      <c r="H21" s="16"/>
      <c r="I21" s="8">
        <v>-621890</v>
      </c>
    </row>
    <row r="22" spans="1:10" x14ac:dyDescent="0.25">
      <c r="A22" t="s">
        <v>32</v>
      </c>
      <c r="C22" s="16">
        <f>SUM(C19:C21)</f>
        <v>-1786216</v>
      </c>
      <c r="E22" s="16">
        <f>SUM(E19:E21)</f>
        <v>-5153746</v>
      </c>
      <c r="F22" s="14"/>
      <c r="G22" s="16">
        <f>SUM(G19:G21)</f>
        <v>-2686348</v>
      </c>
      <c r="H22" s="16"/>
      <c r="I22" s="1">
        <f>SUM(I19:I21)</f>
        <v>7168557</v>
      </c>
    </row>
    <row r="23" spans="1:10" x14ac:dyDescent="0.25">
      <c r="A23" t="s">
        <v>16</v>
      </c>
      <c r="C23" s="16">
        <f>E24</f>
        <v>5267203</v>
      </c>
      <c r="E23" s="16">
        <f>G24</f>
        <v>10420949</v>
      </c>
      <c r="F23" s="14"/>
      <c r="G23" s="16">
        <f>+I24</f>
        <v>13107297</v>
      </c>
      <c r="H23" s="16"/>
      <c r="I23" s="1">
        <v>5938740</v>
      </c>
    </row>
    <row r="24" spans="1:10" s="3" customFormat="1" x14ac:dyDescent="0.25">
      <c r="A24" s="3" t="s">
        <v>17</v>
      </c>
      <c r="C24" s="17">
        <f>C22+C23</f>
        <v>3480987</v>
      </c>
      <c r="E24" s="17">
        <f>E22+E23</f>
        <v>5267203</v>
      </c>
      <c r="F24" s="15"/>
      <c r="G24" s="17">
        <f>+G22+G23</f>
        <v>10420949</v>
      </c>
      <c r="H24" s="17"/>
      <c r="I24" s="6">
        <f>+I22+I23</f>
        <v>13107297</v>
      </c>
    </row>
    <row r="25" spans="1:10" x14ac:dyDescent="0.25">
      <c r="C25" s="16"/>
      <c r="E25" s="16"/>
      <c r="F25" s="14"/>
      <c r="G25" s="16"/>
      <c r="H25" s="16"/>
      <c r="I25" s="1"/>
    </row>
    <row r="26" spans="1:10" x14ac:dyDescent="0.25">
      <c r="A26" s="3" t="s">
        <v>18</v>
      </c>
      <c r="B26" s="3"/>
      <c r="C26" s="6"/>
      <c r="D26" s="3"/>
      <c r="E26" s="6"/>
      <c r="F26" s="11"/>
      <c r="G26" s="1"/>
      <c r="H26" s="1"/>
      <c r="I26" s="1"/>
    </row>
    <row r="27" spans="1:10" x14ac:dyDescent="0.25">
      <c r="A27" t="s">
        <v>19</v>
      </c>
      <c r="C27" s="1">
        <v>7225575</v>
      </c>
      <c r="D27" s="2">
        <f t="shared" ref="D27:D33" si="0">+C27/$C$34</f>
        <v>0.36924978196832853</v>
      </c>
      <c r="E27" s="1">
        <v>6751064</v>
      </c>
      <c r="F27" s="2">
        <f>+E27/$E$34</f>
        <v>0.36092029901089207</v>
      </c>
      <c r="G27" s="1">
        <v>5210729</v>
      </c>
      <c r="H27" s="2">
        <f>+G27/$G$34</f>
        <v>0.26492460822572933</v>
      </c>
      <c r="I27" s="1">
        <v>4290038</v>
      </c>
      <c r="J27" s="2">
        <f>+I27/$I$34</f>
        <v>0.18327129790131017</v>
      </c>
    </row>
    <row r="28" spans="1:10" x14ac:dyDescent="0.25">
      <c r="A28" t="s">
        <v>20</v>
      </c>
      <c r="C28" s="1">
        <v>7484669</v>
      </c>
      <c r="D28" s="2">
        <f t="shared" si="0"/>
        <v>0.38249030649534566</v>
      </c>
      <c r="E28" s="1">
        <v>6992015</v>
      </c>
      <c r="F28" s="2">
        <f t="shared" ref="F28:F33" si="1">+E28/$E$34</f>
        <v>0.37380183990088711</v>
      </c>
      <c r="G28" s="1">
        <v>10870523</v>
      </c>
      <c r="H28" s="2">
        <f t="shared" ref="H28:H34" si="2">+G28/$G$34</f>
        <v>0.55268064161152497</v>
      </c>
      <c r="I28" s="1">
        <v>17388515</v>
      </c>
      <c r="J28" s="2">
        <f t="shared" ref="J28:J34" si="3">+I28/$I$34</f>
        <v>0.74284090551794657</v>
      </c>
    </row>
    <row r="29" spans="1:10" x14ac:dyDescent="0.25">
      <c r="A29" s="18" t="s">
        <v>21</v>
      </c>
      <c r="C29" s="16">
        <v>1668699</v>
      </c>
      <c r="D29" s="13">
        <f t="shared" si="0"/>
        <v>8.5275807381525737E-2</v>
      </c>
      <c r="E29" s="16">
        <v>1628415</v>
      </c>
      <c r="F29" s="2">
        <f t="shared" si="1"/>
        <v>8.7057096290869385E-2</v>
      </c>
      <c r="G29" s="1">
        <v>412003</v>
      </c>
      <c r="H29" s="2">
        <f t="shared" si="2"/>
        <v>2.0947113803620406E-2</v>
      </c>
      <c r="I29" s="1">
        <v>62823</v>
      </c>
      <c r="J29" s="2">
        <f t="shared" si="3"/>
        <v>2.683811366718432E-3</v>
      </c>
    </row>
    <row r="30" spans="1:10" x14ac:dyDescent="0.25">
      <c r="A30" t="s">
        <v>22</v>
      </c>
      <c r="C30" s="1">
        <v>556687</v>
      </c>
      <c r="D30" s="2">
        <f t="shared" si="0"/>
        <v>2.8448469966003104E-2</v>
      </c>
      <c r="E30" s="1">
        <v>1661161</v>
      </c>
      <c r="F30" s="2">
        <f t="shared" si="1"/>
        <v>8.8807738280252194E-2</v>
      </c>
      <c r="G30" s="1">
        <v>1933817</v>
      </c>
      <c r="H30" s="2">
        <f t="shared" si="2"/>
        <v>9.8319392757760998E-2</v>
      </c>
      <c r="I30" s="1">
        <v>1066775</v>
      </c>
      <c r="J30" s="2">
        <f t="shared" si="3"/>
        <v>4.5572845466326908E-2</v>
      </c>
    </row>
    <row r="31" spans="1:10" x14ac:dyDescent="0.25">
      <c r="A31" t="s">
        <v>23</v>
      </c>
      <c r="C31" s="1">
        <v>859670</v>
      </c>
      <c r="D31" s="2">
        <f t="shared" si="0"/>
        <v>4.3931861487108356E-2</v>
      </c>
      <c r="E31" s="1">
        <v>905053</v>
      </c>
      <c r="F31" s="2">
        <f t="shared" si="1"/>
        <v>4.8385261846237114E-2</v>
      </c>
      <c r="G31" s="1">
        <v>700927</v>
      </c>
      <c r="H31" s="2">
        <f t="shared" si="2"/>
        <v>3.563662797851045E-2</v>
      </c>
      <c r="I31" s="1">
        <v>530609</v>
      </c>
      <c r="J31" s="2">
        <f t="shared" si="3"/>
        <v>2.2667724646755177E-2</v>
      </c>
    </row>
    <row r="32" spans="1:10" x14ac:dyDescent="0.25">
      <c r="A32" t="s">
        <v>31</v>
      </c>
      <c r="C32" s="1">
        <f>1030947+146650</f>
        <v>1177597</v>
      </c>
      <c r="D32" s="2">
        <f t="shared" si="0"/>
        <v>6.0178938769102491E-2</v>
      </c>
      <c r="E32" s="1">
        <f>206850+28814-9941</f>
        <v>225723</v>
      </c>
      <c r="F32" s="2">
        <f t="shared" si="1"/>
        <v>1.2067433022948026E-2</v>
      </c>
      <c r="G32" s="1">
        <f>+-31288+14707+8941</f>
        <v>-7640</v>
      </c>
      <c r="H32" s="2">
        <f t="shared" si="2"/>
        <v>-3.8843394213066389E-4</v>
      </c>
      <c r="I32" s="1">
        <v>69368</v>
      </c>
      <c r="J32" s="2">
        <f t="shared" si="3"/>
        <v>2.9634151009427152E-3</v>
      </c>
    </row>
    <row r="33" spans="1:10" x14ac:dyDescent="0.25">
      <c r="A33" t="s">
        <v>24</v>
      </c>
      <c r="C33" s="12">
        <v>595361</v>
      </c>
      <c r="D33" s="13">
        <f t="shared" si="0"/>
        <v>3.0424833932586132E-2</v>
      </c>
      <c r="E33" s="12">
        <v>541707</v>
      </c>
      <c r="F33" s="13">
        <f t="shared" si="1"/>
        <v>2.8960331647914065E-2</v>
      </c>
      <c r="G33" s="12">
        <v>548365</v>
      </c>
      <c r="H33" s="13">
        <f t="shared" si="2"/>
        <v>2.788004956498449E-2</v>
      </c>
      <c r="I33" s="12" t="s">
        <v>25</v>
      </c>
      <c r="J33" s="2">
        <v>0</v>
      </c>
    </row>
    <row r="34" spans="1:10" s="3" customFormat="1" x14ac:dyDescent="0.25">
      <c r="A34" s="3" t="s">
        <v>26</v>
      </c>
      <c r="C34" s="6">
        <f>SUM(C27:C33)</f>
        <v>19568258</v>
      </c>
      <c r="D34" s="9">
        <f>SUM(D27:D33)</f>
        <v>1.0000000000000002</v>
      </c>
      <c r="E34" s="6">
        <f>SUM(E27:E33)</f>
        <v>18705138</v>
      </c>
      <c r="F34" s="9">
        <f>SUM(F27:F33)</f>
        <v>1</v>
      </c>
      <c r="G34" s="6">
        <f>SUM(G27:G33)</f>
        <v>19668724</v>
      </c>
      <c r="H34" s="9">
        <f t="shared" si="2"/>
        <v>1</v>
      </c>
      <c r="I34" s="6">
        <f>SUM(I27:I32)</f>
        <v>23408128</v>
      </c>
      <c r="J34" s="9">
        <f t="shared" si="3"/>
        <v>1</v>
      </c>
    </row>
    <row r="35" spans="1:10" x14ac:dyDescent="0.25">
      <c r="C35" s="1"/>
      <c r="D35" s="10"/>
      <c r="G35" s="1"/>
      <c r="H35" s="1"/>
      <c r="I35" s="1"/>
    </row>
    <row r="36" spans="1:10" x14ac:dyDescent="0.25">
      <c r="A36" t="s">
        <v>27</v>
      </c>
      <c r="C36" s="1">
        <v>18038041</v>
      </c>
      <c r="D36" s="2">
        <f>+C36/$C$39</f>
        <v>0.74917391905492825</v>
      </c>
      <c r="E36" s="16">
        <v>17127802</v>
      </c>
      <c r="F36" s="2">
        <f>+E36/$E$39</f>
        <v>0.76323368847638384</v>
      </c>
      <c r="G36" s="1">
        <v>13656939</v>
      </c>
      <c r="H36" s="2">
        <f>+G36/$G$39</f>
        <v>0.78597835289578522</v>
      </c>
      <c r="I36" s="1">
        <v>9964505</v>
      </c>
      <c r="J36" s="2">
        <f>+I36/$I$39</f>
        <v>0.76390153283900997</v>
      </c>
    </row>
    <row r="37" spans="1:10" x14ac:dyDescent="0.25">
      <c r="A37" t="s">
        <v>28</v>
      </c>
      <c r="C37" s="1">
        <v>2559718</v>
      </c>
      <c r="D37" s="2">
        <f>+C37/$C$39</f>
        <v>0.1063127623302022</v>
      </c>
      <c r="E37" s="16">
        <v>2222924</v>
      </c>
      <c r="F37" s="2">
        <f>+E37/$E$39</f>
        <v>9.9055937459031643E-2</v>
      </c>
      <c r="G37" s="1">
        <v>1960836</v>
      </c>
      <c r="H37" s="2">
        <f>+G37/$G$39</f>
        <v>0.11284920065753826</v>
      </c>
      <c r="I37" s="1">
        <v>1521389</v>
      </c>
      <c r="J37" s="2">
        <f t="shared" ref="J37:J39" si="4">+I37/$I$39</f>
        <v>0.11663312820299739</v>
      </c>
    </row>
    <row r="38" spans="1:10" x14ac:dyDescent="0.25">
      <c r="A38" t="s">
        <v>30</v>
      </c>
      <c r="C38" s="8">
        <v>3479482</v>
      </c>
      <c r="D38" s="2">
        <f>+C38/$C$39</f>
        <v>0.14451331861486955</v>
      </c>
      <c r="E38" s="12">
        <v>3090372</v>
      </c>
      <c r="F38" s="2">
        <f>+E38/$E$39</f>
        <v>0.13771037406458453</v>
      </c>
      <c r="G38" s="8">
        <v>1757944</v>
      </c>
      <c r="H38" s="2">
        <f>+G38/$G$39</f>
        <v>0.10117244644667654</v>
      </c>
      <c r="I38" s="8">
        <v>1558333</v>
      </c>
      <c r="J38" s="2">
        <f t="shared" si="4"/>
        <v>0.11946533895799268</v>
      </c>
    </row>
    <row r="39" spans="1:10" s="3" customFormat="1" x14ac:dyDescent="0.25">
      <c r="A39" s="3" t="s">
        <v>26</v>
      </c>
      <c r="C39" s="7">
        <f>SUM(C36:C38)</f>
        <v>24077241</v>
      </c>
      <c r="D39" s="9">
        <f>SUM(D36:D38)</f>
        <v>1</v>
      </c>
      <c r="E39" s="7">
        <f>SUM(E36:E38)</f>
        <v>22441098</v>
      </c>
      <c r="F39" s="9">
        <f>SUM(F36:F38)</f>
        <v>1</v>
      </c>
      <c r="G39" s="7">
        <f>SUM(G36:G38)</f>
        <v>17375719</v>
      </c>
      <c r="H39" s="9">
        <f>+G39/$G$39</f>
        <v>1</v>
      </c>
      <c r="I39" s="7">
        <f>SUM(I36:I38)</f>
        <v>13044227</v>
      </c>
      <c r="J39" s="9">
        <f t="shared" si="4"/>
        <v>1</v>
      </c>
    </row>
    <row r="40" spans="1:10" x14ac:dyDescent="0.25">
      <c r="C40" s="1"/>
    </row>
    <row r="41" spans="1:10" s="3" customFormat="1" x14ac:dyDescent="0.25">
      <c r="A41" s="3" t="s">
        <v>29</v>
      </c>
      <c r="C41" s="7">
        <f>+C34-C39</f>
        <v>-4508983</v>
      </c>
      <c r="E41" s="7">
        <f>+E34-E39</f>
        <v>-3735960</v>
      </c>
      <c r="F41" s="11"/>
      <c r="G41" s="7">
        <f>+G34-G39</f>
        <v>2293005</v>
      </c>
      <c r="H41" s="7"/>
      <c r="I41" s="7">
        <f>+I34-I39</f>
        <v>10363901</v>
      </c>
    </row>
    <row r="42" spans="1:10" x14ac:dyDescent="0.25">
      <c r="G42" s="9"/>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677804-e2ae-46c5-805b-df3155bcb9eb">
      <Terms xmlns="http://schemas.microsoft.com/office/infopath/2007/PartnerControls"/>
    </lcf76f155ced4ddcb4097134ff3c332f>
    <TaxCatchAll xmlns="a420aeef-b14e-41ea-a123-b8b50ab285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A2974354B74043BAB6ECD0ED5DCD70" ma:contentTypeVersion="18" ma:contentTypeDescription="Create a new document." ma:contentTypeScope="" ma:versionID="c8dd453cf03e0435db41f0d58ec69e96">
  <xsd:schema xmlns:xsd="http://www.w3.org/2001/XMLSchema" xmlns:xs="http://www.w3.org/2001/XMLSchema" xmlns:p="http://schemas.microsoft.com/office/2006/metadata/properties" xmlns:ns2="67677804-e2ae-46c5-805b-df3155bcb9eb" xmlns:ns3="a420aeef-b14e-41ea-a123-b8b50ab28577" targetNamespace="http://schemas.microsoft.com/office/2006/metadata/properties" ma:root="true" ma:fieldsID="00963716f220960cdf56d228c0cba533" ns2:_="" ns3:_="">
    <xsd:import namespace="67677804-e2ae-46c5-805b-df3155bcb9eb"/>
    <xsd:import namespace="a420aeef-b14e-41ea-a123-b8b50ab285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677804-e2ae-46c5-805b-df3155bcb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63a6043-0c62-445c-8489-73ff5aecc26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20aeef-b14e-41ea-a123-b8b50ab285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857096b-c18e-4bdb-b6f8-a613b285bb69}" ma:internalName="TaxCatchAll" ma:showField="CatchAllData" ma:web="a420aeef-b14e-41ea-a123-b8b50ab285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5407E-762E-4653-A5CD-3473E3B0A8F1}">
  <ds:schemaRefs>
    <ds:schemaRef ds:uri="http://schemas.microsoft.com/office/2006/metadata/properties"/>
    <ds:schemaRef ds:uri="http://purl.org/dc/elements/1.1/"/>
    <ds:schemaRef ds:uri="http://schemas.microsoft.com/office/2006/documentManagement/types"/>
    <ds:schemaRef ds:uri="http://purl.org/dc/terms/"/>
    <ds:schemaRef ds:uri="67677804-e2ae-46c5-805b-df3155bcb9eb"/>
    <ds:schemaRef ds:uri="http://schemas.openxmlformats.org/package/2006/metadata/core-properties"/>
    <ds:schemaRef ds:uri="http://www.w3.org/XML/1998/namespace"/>
    <ds:schemaRef ds:uri="http://purl.org/dc/dcmitype/"/>
    <ds:schemaRef ds:uri="http://schemas.microsoft.com/office/infopath/2007/PartnerControls"/>
    <ds:schemaRef ds:uri="a420aeef-b14e-41ea-a123-b8b50ab28577"/>
  </ds:schemaRefs>
</ds:datastoreItem>
</file>

<file path=customXml/itemProps2.xml><?xml version="1.0" encoding="utf-8"?>
<ds:datastoreItem xmlns:ds="http://schemas.openxmlformats.org/officeDocument/2006/customXml" ds:itemID="{6646002D-8EE5-47F0-901B-40EE90CAF2A1}">
  <ds:schemaRefs>
    <ds:schemaRef ds:uri="http://schemas.microsoft.com/sharepoint/v3/contenttype/forms"/>
  </ds:schemaRefs>
</ds:datastoreItem>
</file>

<file path=customXml/itemProps3.xml><?xml version="1.0" encoding="utf-8"?>
<ds:datastoreItem xmlns:ds="http://schemas.openxmlformats.org/officeDocument/2006/customXml" ds:itemID="{931D0605-423A-4816-B327-9A71D0032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677804-e2ae-46c5-805b-df3155bcb9eb"/>
    <ds:schemaRef ds:uri="a420aeef-b14e-41ea-a123-b8b50ab28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35698cb-4365-423b-a3ed-da3d85240bb8}" enabled="0" method="" siteId="{a35698cb-4365-423b-a3ed-da3d85240bb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Shayleen O'Connell (She/Her)</dc:creator>
  <cp:keywords/>
  <dc:description/>
  <cp:lastModifiedBy>Bren Cole (She/Her)</cp:lastModifiedBy>
  <cp:revision/>
  <dcterms:created xsi:type="dcterms:W3CDTF">2023-06-13T14:39:04Z</dcterms:created>
  <dcterms:modified xsi:type="dcterms:W3CDTF">2025-07-17T14:33:02Z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0x0101000DA2974354B74043BAB6ECD0ED5DCD70</vt:lpwstr>
  </property>
  <property fmtid="{D5CDD505-2E9C-101B-9397-08002B2CF9AE}" pid="3" name="MediaServiceImageTags">
    <vt:lpwstr/>
  </property>
</Properties>
</file>